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20" yWindow="32767" windowWidth="15600" windowHeight="10430" activeTab="0"/>
  </bookViews>
  <sheets>
    <sheet name="95% for proportions" sheetId="1" r:id="rId1"/>
    <sheet name="95%CI for diff of proportions" sheetId="2" r:id="rId2"/>
  </sheets>
  <definedNames/>
  <calcPr fullCalcOnLoad="1"/>
</workbook>
</file>

<file path=xl/sharedStrings.xml><?xml version="1.0" encoding="utf-8"?>
<sst xmlns="http://schemas.openxmlformats.org/spreadsheetml/2006/main" count="84" uniqueCount="60">
  <si>
    <t>p</t>
  </si>
  <si>
    <t>n</t>
  </si>
  <si>
    <t>に対し</t>
  </si>
  <si>
    <r>
      <t>Armitage&amp;Berry</t>
    </r>
    <r>
      <rPr>
        <sz val="10"/>
        <rFont val="ＭＳ Ｐゴシック"/>
        <family val="3"/>
      </rPr>
      <t>の詳しい方法</t>
    </r>
  </si>
  <si>
    <t>r</t>
  </si>
  <si>
    <t>a</t>
  </si>
  <si>
    <t>b</t>
  </si>
  <si>
    <t>c</t>
  </si>
  <si>
    <t>lower</t>
  </si>
  <si>
    <t>upper</t>
  </si>
  <si>
    <r>
      <t>Gardner&amp;Altman</t>
    </r>
    <r>
      <rPr>
        <sz val="10"/>
        <rFont val="ＭＳ Ｐゴシック"/>
        <family val="3"/>
      </rPr>
      <t>の簡便法</t>
    </r>
  </si>
  <si>
    <t>Unpaired case</t>
  </si>
  <si>
    <t>&lt;Armitage, p.128&gt;</t>
  </si>
  <si>
    <t>p1</t>
  </si>
  <si>
    <t>p2</t>
  </si>
  <si>
    <t>差</t>
  </si>
  <si>
    <r>
      <t>差の</t>
    </r>
    <r>
      <rPr>
        <sz val="10"/>
        <rFont val="Geneva"/>
        <family val="2"/>
      </rPr>
      <t>pooled estimate</t>
    </r>
  </si>
  <si>
    <t>z</t>
  </si>
  <si>
    <t>significance</t>
  </si>
  <si>
    <t>Paired case</t>
  </si>
  <si>
    <t>&lt;Armitage, p.125&gt;</t>
  </si>
  <si>
    <t>A</t>
  </si>
  <si>
    <t>not A</t>
  </si>
  <si>
    <t>if r+s&gt;10,</t>
  </si>
  <si>
    <t>z (without continuity correction)</t>
  </si>
  <si>
    <t>n</t>
  </si>
  <si>
    <t>N</t>
  </si>
  <si>
    <t>N1</t>
  </si>
  <si>
    <t>n1</t>
  </si>
  <si>
    <t>N2</t>
  </si>
  <si>
    <t>n2</t>
  </si>
  <si>
    <t>p=</t>
  </si>
  <si>
    <t>95% upper</t>
  </si>
  <si>
    <t>95% lower</t>
  </si>
  <si>
    <t>A</t>
  </si>
  <si>
    <t>B</t>
  </si>
  <si>
    <t>C</t>
  </si>
  <si>
    <t>95% upper</t>
  </si>
  <si>
    <t>95% lower</t>
  </si>
  <si>
    <t>traditional method</t>
  </si>
  <si>
    <t>recommended method</t>
  </si>
  <si>
    <t>差</t>
  </si>
  <si>
    <t>lower</t>
  </si>
  <si>
    <t>upper</t>
  </si>
  <si>
    <t>SE</t>
  </si>
  <si>
    <t>p1</t>
  </si>
  <si>
    <r>
      <t>Altman</t>
    </r>
    <r>
      <rPr>
        <sz val="10"/>
        <rFont val="ＭＳ Ｐゴシック"/>
        <family val="3"/>
      </rPr>
      <t>の</t>
    </r>
    <r>
      <rPr>
        <sz val="10"/>
        <rFont val="Geneva"/>
        <family val="2"/>
      </rPr>
      <t>recommended method</t>
    </r>
  </si>
  <si>
    <t>Recommended method &lt;Altman, p.52&gt;</t>
  </si>
  <si>
    <t>r</t>
  </si>
  <si>
    <t>B</t>
  </si>
  <si>
    <t>C</t>
  </si>
  <si>
    <t>l1</t>
  </si>
  <si>
    <t>u1</t>
  </si>
  <si>
    <t>p2</t>
  </si>
  <si>
    <t>l2</t>
  </si>
  <si>
    <t>u2</t>
  </si>
  <si>
    <r>
      <t>これらは上記の</t>
    </r>
    <r>
      <rPr>
        <sz val="10"/>
        <rFont val="Geneva"/>
        <family val="2"/>
      </rPr>
      <t>Altman</t>
    </r>
    <r>
      <rPr>
        <sz val="10"/>
        <rFont val="ＭＳ Ｐゴシック"/>
        <family val="3"/>
      </rPr>
      <t>の</t>
    </r>
    <r>
      <rPr>
        <sz val="10"/>
        <rFont val="Geneva"/>
        <family val="2"/>
      </rPr>
      <t>recommended method</t>
    </r>
    <r>
      <rPr>
        <sz val="10"/>
        <rFont val="ＭＳ Ｐゴシック"/>
        <family val="3"/>
      </rPr>
      <t>で計算</t>
    </r>
  </si>
  <si>
    <t>phi</t>
  </si>
  <si>
    <r>
      <rPr>
        <sz val="10"/>
        <rFont val="ＭＳ Ｐゴシック"/>
        <family val="3"/>
      </rPr>
      <t>差の</t>
    </r>
    <r>
      <rPr>
        <sz val="10"/>
        <rFont val="Geneva"/>
        <family val="2"/>
      </rPr>
      <t>upper</t>
    </r>
  </si>
  <si>
    <t>差のlower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</si>
</sst>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 "/>
    <numFmt numFmtId="193" formatCode="0.0_ "/>
    <numFmt numFmtId="194" formatCode="0.000_ "/>
  </numFmts>
  <fonts count="39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194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9" sqref="E9"/>
    </sheetView>
  </sheetViews>
  <sheetFormatPr defaultColWidth="9.00390625" defaultRowHeight="12.75"/>
  <sheetData>
    <row r="1" spans="1:2" ht="12.75" thickBot="1">
      <c r="A1" t="s">
        <v>26</v>
      </c>
      <c r="B1" t="s">
        <v>25</v>
      </c>
    </row>
    <row r="2" spans="1:2" ht="13.5" thickBot="1" thickTop="1">
      <c r="A2" s="8">
        <v>100</v>
      </c>
      <c r="B2" s="7">
        <v>30</v>
      </c>
    </row>
    <row r="3" ht="12.75" thickTop="1"/>
    <row r="4" spans="1:4" ht="12">
      <c r="A4" t="s">
        <v>39</v>
      </c>
      <c r="D4" t="s">
        <v>40</v>
      </c>
    </row>
    <row r="5" spans="1:5" ht="12">
      <c r="A5" t="s">
        <v>31</v>
      </c>
      <c r="B5" s="11">
        <f>B2/A2</f>
        <v>0.3</v>
      </c>
      <c r="D5" t="s">
        <v>34</v>
      </c>
      <c r="E5">
        <f>2*B2+1.96*1.96</f>
        <v>63.8416</v>
      </c>
    </row>
    <row r="6" spans="1:5" ht="12">
      <c r="A6" t="s">
        <v>32</v>
      </c>
      <c r="B6" s="11">
        <f>B5+1.96*SQRT(B5*(1-B5)/A2)</f>
        <v>0.38981848362113447</v>
      </c>
      <c r="D6" t="s">
        <v>35</v>
      </c>
      <c r="E6">
        <f>1.96*SQRT(1.96*1.96+4*B2*(1-B5))</f>
        <v>18.369874538493725</v>
      </c>
    </row>
    <row r="7" spans="1:5" ht="12">
      <c r="A7" t="s">
        <v>33</v>
      </c>
      <c r="B7" s="11">
        <f>B5-1.96*SQRT(B5*(1-B5)/A2)</f>
        <v>0.2101815163788655</v>
      </c>
      <c r="D7" t="s">
        <v>36</v>
      </c>
      <c r="E7">
        <f>2*(A2+1.96*1.96)</f>
        <v>207.6832</v>
      </c>
    </row>
    <row r="8" spans="4:5" ht="12">
      <c r="D8" t="s">
        <v>37</v>
      </c>
      <c r="E8" s="11">
        <f>(E5+E6)/E7</f>
        <v>0.39585038432811953</v>
      </c>
    </row>
    <row r="9" spans="4:5" ht="12">
      <c r="D9" t="s">
        <v>38</v>
      </c>
      <c r="E9" s="11">
        <f>(E5-E6)/E7</f>
        <v>0.21894753866228117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19" sqref="C19"/>
    </sheetView>
  </sheetViews>
  <sheetFormatPr defaultColWidth="11.50390625" defaultRowHeight="12.75"/>
  <sheetData>
    <row r="1" spans="1:9" ht="12.75" thickBot="1">
      <c r="A1" t="s">
        <v>0</v>
      </c>
      <c r="B1" t="s">
        <v>25</v>
      </c>
      <c r="C1" t="s">
        <v>26</v>
      </c>
      <c r="D1" s="4" t="s">
        <v>2</v>
      </c>
      <c r="I1">
        <f>54*0.65</f>
        <v>35.1</v>
      </c>
    </row>
    <row r="2" spans="1:3" ht="12.75" thickBot="1">
      <c r="A2" s="5">
        <f>B2/C2</f>
        <v>0.8803418803418803</v>
      </c>
      <c r="B2" s="3">
        <v>206</v>
      </c>
      <c r="C2" s="3">
        <v>234</v>
      </c>
    </row>
    <row r="4" ht="12">
      <c r="A4" t="s">
        <v>3</v>
      </c>
    </row>
    <row r="5" spans="1:7" ht="12.75" thickBot="1">
      <c r="A5" t="s">
        <v>4</v>
      </c>
      <c r="B5" t="s">
        <v>1</v>
      </c>
      <c r="C5" t="s">
        <v>5</v>
      </c>
      <c r="D5" t="s">
        <v>6</v>
      </c>
      <c r="E5" t="s">
        <v>7</v>
      </c>
      <c r="F5" t="s">
        <v>8</v>
      </c>
      <c r="G5" t="s">
        <v>9</v>
      </c>
    </row>
    <row r="6" spans="1:7" ht="12.75" thickBot="1">
      <c r="A6" s="9">
        <v>1</v>
      </c>
      <c r="B6" s="6">
        <v>29</v>
      </c>
      <c r="C6">
        <f>B6^2+1.96^2*B6</f>
        <v>952.4064</v>
      </c>
      <c r="D6">
        <f>(-2.84-2*A6)*B6</f>
        <v>-140.35999999999999</v>
      </c>
      <c r="E6">
        <f>(A6-0.5)^2</f>
        <v>0.25</v>
      </c>
      <c r="F6">
        <f>(-D6-SQRT(D6^2-4*C6*E6))/(2*C6)</f>
        <v>0.001803197270118941</v>
      </c>
      <c r="G6">
        <f>(-D6+SQRT(D6^2-4*C6*E6))/(2*C6)</f>
        <v>0.14557086489493998</v>
      </c>
    </row>
    <row r="7" ht="12">
      <c r="A7" t="s">
        <v>46</v>
      </c>
    </row>
    <row r="8" spans="1:7" ht="12.75" thickBot="1">
      <c r="A8" t="s">
        <v>48</v>
      </c>
      <c r="B8" t="s">
        <v>25</v>
      </c>
      <c r="C8" t="s">
        <v>34</v>
      </c>
      <c r="D8" t="s">
        <v>49</v>
      </c>
      <c r="E8" t="s">
        <v>50</v>
      </c>
      <c r="F8" t="s">
        <v>42</v>
      </c>
      <c r="G8" t="s">
        <v>43</v>
      </c>
    </row>
    <row r="9" spans="1:7" ht="12.75" thickBot="1">
      <c r="A9" s="9">
        <v>206</v>
      </c>
      <c r="B9" s="6">
        <v>234</v>
      </c>
      <c r="C9">
        <f>2*A9+1.96^2</f>
        <v>415.84159999999997</v>
      </c>
      <c r="D9">
        <f>1.96*SQRT(1.96^2+4*A9*(1-A9/B9))</f>
        <v>19.837668303568172</v>
      </c>
      <c r="E9">
        <f>2*(B9+1.96^2)</f>
        <v>475.6832</v>
      </c>
      <c r="F9">
        <f>(C9-D9)/E9</f>
        <v>0.8324950969393743</v>
      </c>
      <c r="G9">
        <f>(C9+D9)/E9</f>
        <v>0.9159021556859023</v>
      </c>
    </row>
    <row r="10" ht="12">
      <c r="A10" t="s">
        <v>10</v>
      </c>
    </row>
    <row r="11" spans="6:7" ht="12">
      <c r="F11">
        <f>A2-1.96*SQRT(A2*(1-A2)/C2)</f>
        <v>0.8387560946545087</v>
      </c>
      <c r="G11">
        <f>A2+1.96*SQRT(A2*(1-A2)/C2)</f>
        <v>0.9219276660292519</v>
      </c>
    </row>
    <row r="14" spans="1:2" ht="12.75">
      <c r="A14" s="10" t="s">
        <v>11</v>
      </c>
      <c r="B14" t="s">
        <v>12</v>
      </c>
    </row>
    <row r="15" spans="1:8" ht="12.75" thickBot="1">
      <c r="A15" t="s">
        <v>13</v>
      </c>
      <c r="B15" t="s">
        <v>27</v>
      </c>
      <c r="C15" t="s">
        <v>28</v>
      </c>
      <c r="D15" t="s">
        <v>34</v>
      </c>
      <c r="E15" t="s">
        <v>35</v>
      </c>
      <c r="F15" t="s">
        <v>36</v>
      </c>
      <c r="G15" t="s">
        <v>42</v>
      </c>
      <c r="H15" t="s">
        <v>43</v>
      </c>
    </row>
    <row r="16" spans="1:8" ht="12.75" thickBot="1">
      <c r="A16" s="5">
        <f>C16/B16</f>
        <v>0.6792452830188679</v>
      </c>
      <c r="B16" s="3">
        <v>53</v>
      </c>
      <c r="C16" s="6">
        <v>36</v>
      </c>
      <c r="D16">
        <f>2*C16+1.96^2</f>
        <v>75.8416</v>
      </c>
      <c r="E16">
        <f>1.96*SQRT(1.96^2+4*C16*(1-C16/B16))</f>
        <v>13.863488765411082</v>
      </c>
      <c r="F16">
        <f>2*(B16+1.96^2)</f>
        <v>113.6832</v>
      </c>
      <c r="G16">
        <f>(D16-E16)/F16</f>
        <v>0.5451826763724887</v>
      </c>
      <c r="H16">
        <f>(D16+E16)/F16</f>
        <v>0.7890795541065969</v>
      </c>
    </row>
    <row r="17" spans="1:3" ht="12.75" thickBot="1">
      <c r="A17" t="s">
        <v>14</v>
      </c>
      <c r="B17" t="s">
        <v>29</v>
      </c>
      <c r="C17" t="s">
        <v>30</v>
      </c>
    </row>
    <row r="18" spans="1:8" ht="12.75" thickBot="1">
      <c r="A18" s="5">
        <f>C18/B18</f>
        <v>0.5833333333333334</v>
      </c>
      <c r="B18" s="3">
        <v>60</v>
      </c>
      <c r="C18" s="6">
        <v>35</v>
      </c>
      <c r="D18">
        <f>2*C18+1.96^2</f>
        <v>73.8416</v>
      </c>
      <c r="E18">
        <f>1.96*SQRT(1.96^2+4*C18*(1-C18/B18))</f>
        <v>15.454812321517636</v>
      </c>
      <c r="F18">
        <f>2*(B18+1.96^2)</f>
        <v>127.6832</v>
      </c>
      <c r="G18">
        <f>(D18-E18)/F18</f>
        <v>0.45727854313239613</v>
      </c>
      <c r="H18">
        <f>(D18+E18)/F18</f>
        <v>0.6993591351212817</v>
      </c>
    </row>
    <row r="19" spans="1:5" ht="12">
      <c r="A19" s="4" t="s">
        <v>15</v>
      </c>
      <c r="B19" s="4" t="s">
        <v>16</v>
      </c>
      <c r="D19" t="s">
        <v>8</v>
      </c>
      <c r="E19" t="s">
        <v>9</v>
      </c>
    </row>
    <row r="20" spans="1:5" ht="12">
      <c r="A20">
        <f>A16-A18</f>
        <v>0.09591194968553451</v>
      </c>
      <c r="B20">
        <f>SQRT(A16*(1-A16)/B16+A18*(1-A18)/B18)</f>
        <v>0.09034213820611109</v>
      </c>
      <c r="D20">
        <f>A20-1.96*B20</f>
        <v>-0.08115864119844321</v>
      </c>
      <c r="E20">
        <f>A20+1.96*B20</f>
        <v>0.2729825405695122</v>
      </c>
    </row>
    <row r="21" spans="4:5" ht="12">
      <c r="D21" t="s">
        <v>17</v>
      </c>
      <c r="E21" t="s">
        <v>18</v>
      </c>
    </row>
    <row r="22" spans="2:5" ht="12">
      <c r="B22">
        <f>(C16+C18)/(B16+B18)</f>
        <v>0.6283185840707964</v>
      </c>
      <c r="D22">
        <f>(A16-A18)/SQRT(B22*(1-B22)*(1/B16+1/B18))</f>
        <v>1.0528625579977264</v>
      </c>
      <c r="E22">
        <f>2*(1-NORMSDIST(ABS(D22)))</f>
        <v>0.2924039885387877</v>
      </c>
    </row>
    <row r="24" ht="12">
      <c r="A24" t="s">
        <v>46</v>
      </c>
    </row>
    <row r="25" spans="1:3" ht="12">
      <c r="A25" s="4" t="s">
        <v>15</v>
      </c>
      <c r="B25" s="4" t="s">
        <v>59</v>
      </c>
      <c r="C25" t="s">
        <v>58</v>
      </c>
    </row>
    <row r="26" spans="1:3" ht="12">
      <c r="A26">
        <f>A16-A18</f>
        <v>0.09591194968553451</v>
      </c>
      <c r="B26">
        <f>A26-SQRT((A16-G16)^2+(H18-A18)^2)</f>
        <v>-0.08138658155868658</v>
      </c>
      <c r="C26">
        <f>A26+SQRT((A18-G18)^2+(H16-A16)^2)</f>
        <v>0.26310458480435506</v>
      </c>
    </row>
    <row r="30" spans="1:2" ht="12.75">
      <c r="A30" s="10" t="s">
        <v>19</v>
      </c>
      <c r="B30" t="s">
        <v>20</v>
      </c>
    </row>
    <row r="32" spans="2:3" ht="12.75" thickBot="1">
      <c r="B32" t="s">
        <v>21</v>
      </c>
      <c r="C32" t="s">
        <v>22</v>
      </c>
    </row>
    <row r="33" spans="1:3" ht="12.75" thickBot="1">
      <c r="A33" t="s">
        <v>21</v>
      </c>
      <c r="B33" s="3">
        <v>142</v>
      </c>
      <c r="C33" s="3">
        <v>0</v>
      </c>
    </row>
    <row r="34" spans="1:3" ht="12.75" thickBot="1">
      <c r="A34" t="s">
        <v>22</v>
      </c>
      <c r="B34" s="3">
        <v>64</v>
      </c>
      <c r="C34" s="3">
        <v>28</v>
      </c>
    </row>
    <row r="35" ht="12">
      <c r="D35">
        <f>B33+C33+B34+C34</f>
        <v>234</v>
      </c>
    </row>
    <row r="36" spans="1:3" ht="12">
      <c r="A36" t="s">
        <v>23</v>
      </c>
      <c r="B36" t="s">
        <v>24</v>
      </c>
      <c r="C36" t="s">
        <v>18</v>
      </c>
    </row>
    <row r="37" spans="1:3" ht="12">
      <c r="A37" s="2">
        <f>C33+B34</f>
        <v>64</v>
      </c>
      <c r="B37">
        <f>(C33-0.5*(C33+B34))/(0.5*SQRT(C33+B34))</f>
        <v>-8</v>
      </c>
      <c r="C37">
        <f>2*(1-(NORMSDIST(ABS(B37))))</f>
        <v>1.3322676295501878E-15</v>
      </c>
    </row>
    <row r="38" spans="1:4" ht="12">
      <c r="A38" s="4" t="s">
        <v>41</v>
      </c>
      <c r="B38" t="s">
        <v>42</v>
      </c>
      <c r="C38" t="s">
        <v>43</v>
      </c>
      <c r="D38" t="s">
        <v>44</v>
      </c>
    </row>
    <row r="39" spans="1:4" ht="12">
      <c r="A39">
        <f>(B33+B34)/D35-(B33+C33)/D35</f>
        <v>0.27350427350427353</v>
      </c>
      <c r="B39">
        <f>A39-1.96*D39</f>
        <v>0.21638972698374662</v>
      </c>
      <c r="C39">
        <f>A39+1.96*D39</f>
        <v>0.3306188200248004</v>
      </c>
      <c r="D39">
        <f>SQRT(C33+B34-(C33-B34)^2/D35)/D35</f>
        <v>0.029140074755370872</v>
      </c>
    </row>
    <row r="41" ht="12">
      <c r="A41" t="s">
        <v>47</v>
      </c>
    </row>
    <row r="42" spans="1:7" ht="12">
      <c r="A42" t="s">
        <v>45</v>
      </c>
      <c r="B42" t="s">
        <v>51</v>
      </c>
      <c r="C42" t="s">
        <v>52</v>
      </c>
      <c r="D42" t="s">
        <v>53</v>
      </c>
      <c r="E42" t="s">
        <v>54</v>
      </c>
      <c r="F42" t="s">
        <v>55</v>
      </c>
      <c r="G42" s="4" t="s">
        <v>56</v>
      </c>
    </row>
    <row r="43" spans="1:6" ht="12">
      <c r="A43" s="1">
        <v>0.6068376068376068</v>
      </c>
      <c r="B43" s="1">
        <v>0.5430104690774084</v>
      </c>
      <c r="C43" s="1">
        <v>0.6672134782892423</v>
      </c>
      <c r="D43" s="1">
        <v>0.8803418803418803</v>
      </c>
      <c r="E43" s="1">
        <v>0.8324950969393743</v>
      </c>
      <c r="F43" s="1">
        <v>0.9159021556859023</v>
      </c>
    </row>
    <row r="44" spans="1:4" ht="12">
      <c r="A44" t="s">
        <v>34</v>
      </c>
      <c r="B44" t="s">
        <v>49</v>
      </c>
      <c r="C44" t="s">
        <v>50</v>
      </c>
      <c r="D44" t="s">
        <v>57</v>
      </c>
    </row>
    <row r="45" spans="1:4" ht="12">
      <c r="A45">
        <f>(B33+C33)*(B34+C34)*(B33+B34)*(C33+C34)</f>
        <v>75353152</v>
      </c>
      <c r="B45">
        <f>B33*C34-C33*B34</f>
        <v>3976</v>
      </c>
      <c r="C45">
        <f>IF(B45&gt;D35/2,B45-D35/2,IF(B45&lt;0,B45,0))</f>
        <v>3859</v>
      </c>
      <c r="D45">
        <f>C45/SQRT(A45)</f>
        <v>0.4445535338064839</v>
      </c>
    </row>
    <row r="46" spans="1:3" ht="12">
      <c r="A46" s="4" t="s">
        <v>41</v>
      </c>
      <c r="B46" t="s">
        <v>42</v>
      </c>
      <c r="C46" t="s">
        <v>43</v>
      </c>
    </row>
    <row r="47" spans="1:3" ht="12">
      <c r="A47">
        <f>(B33+B34)/D35-(B33+C33)/D35</f>
        <v>0.27350427350427353</v>
      </c>
      <c r="B47">
        <f>A47-SQRT((A43-B43)^2-2*D45*(A43-B43)*(F43-D43)+(F43-D43)^2)</f>
        <v>0.21588117945878302</v>
      </c>
      <c r="C47">
        <f>A47+SQRT((D43-E43)^2-2*D45*(D43-E43)*(C43-A43)+(C43-A43)^2)</f>
        <v>0.33152251049521664</v>
      </c>
    </row>
  </sheetData>
  <sheetProtection/>
  <printOptions gridLines="1"/>
  <pageMargins left="0.787" right="0.787" top="0.984" bottom="0.984" header="0.5" footer="0.5"/>
  <pageSetup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 A. Furukawa</dc:creator>
  <cp:keywords/>
  <dc:description/>
  <cp:lastModifiedBy>Toshi A. Furukawa</cp:lastModifiedBy>
  <dcterms:created xsi:type="dcterms:W3CDTF">1997-10-31T13:10:02Z</dcterms:created>
  <dcterms:modified xsi:type="dcterms:W3CDTF">2023-05-17T06:06:47Z</dcterms:modified>
  <cp:category/>
  <cp:version/>
  <cp:contentType/>
  <cp:contentStatus/>
</cp:coreProperties>
</file>